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05" windowWidth="19005" windowHeight="10470" activeTab="0"/>
  </bookViews>
  <sheets>
    <sheet name="Sheet1" sheetId="1" r:id="rId1"/>
    <sheet name="Sheet2" sheetId="2" r:id="rId2"/>
    <sheet name="Sheet3" sheetId="3" r:id="rId3"/>
  </sheets>
  <definedNames>
    <definedName name="gamma">'Sheet1'!$I$16</definedName>
    <definedName name="M">'Sheet1'!$P$4</definedName>
  </definedNames>
  <calcPr fullCalcOnLoad="1"/>
</workbook>
</file>

<file path=xl/sharedStrings.xml><?xml version="1.0" encoding="utf-8"?>
<sst xmlns="http://schemas.openxmlformats.org/spreadsheetml/2006/main" count="125" uniqueCount="91">
  <si>
    <r>
      <t>Body wetted area, in</t>
    </r>
    <r>
      <rPr>
        <vertAlign val="superscript"/>
        <sz val="10"/>
        <rFont val="Arial"/>
        <family val="2"/>
      </rPr>
      <t>2</t>
    </r>
  </si>
  <si>
    <r>
      <t>ρ</t>
    </r>
    <r>
      <rPr>
        <sz val="10"/>
        <rFont val="Arial"/>
        <family val="0"/>
      </rPr>
      <t>a/</t>
    </r>
    <r>
      <rPr>
        <sz val="10"/>
        <rFont val="Arial"/>
        <family val="2"/>
      </rPr>
      <t>μ</t>
    </r>
    <r>
      <rPr>
        <sz val="10"/>
        <rFont val="Arial"/>
        <family val="0"/>
      </rPr>
      <t>, ft</t>
    </r>
    <r>
      <rPr>
        <vertAlign val="superscript"/>
        <sz val="10"/>
        <rFont val="Arial"/>
        <family val="2"/>
      </rPr>
      <t>-1</t>
    </r>
  </si>
  <si>
    <r>
      <t>Body wetted area, ft</t>
    </r>
    <r>
      <rPr>
        <vertAlign val="superscript"/>
        <sz val="10"/>
        <rFont val="Arial"/>
        <family val="2"/>
      </rPr>
      <t>2</t>
    </r>
  </si>
  <si>
    <t>Area width, ft</t>
  </si>
  <si>
    <t>Transition Re</t>
  </si>
  <si>
    <t>Transition length, ft</t>
  </si>
  <si>
    <t>Mach number</t>
  </si>
  <si>
    <t>DRAG COEFFICIENT</t>
  </si>
  <si>
    <t>Body diameter, in</t>
  </si>
  <si>
    <t>Body diameter, ft</t>
  </si>
  <si>
    <r>
      <t>Sref, ft</t>
    </r>
    <r>
      <rPr>
        <vertAlign val="superscript"/>
        <sz val="10"/>
        <rFont val="Arial"/>
        <family val="2"/>
      </rPr>
      <t>2</t>
    </r>
  </si>
  <si>
    <t>Fin root chord, in</t>
  </si>
  <si>
    <t>Fin tip chord, in</t>
  </si>
  <si>
    <t>Fin exposed semispan, in</t>
  </si>
  <si>
    <t>Number of fin panels</t>
  </si>
  <si>
    <r>
      <t>Fin panel wetted area, in</t>
    </r>
    <r>
      <rPr>
        <vertAlign val="superscript"/>
        <sz val="10"/>
        <rFont val="Arial"/>
        <family val="2"/>
      </rPr>
      <t>2</t>
    </r>
  </si>
  <si>
    <r>
      <t>Fin panel wetted area, ft</t>
    </r>
    <r>
      <rPr>
        <vertAlign val="superscript"/>
        <sz val="10"/>
        <rFont val="Arial"/>
        <family val="2"/>
      </rPr>
      <t>2</t>
    </r>
  </si>
  <si>
    <t>Fin Skin Friction Drag Coefficient</t>
  </si>
  <si>
    <t>Transition  Re</t>
  </si>
  <si>
    <t>Power-On Base Drag Coefficient</t>
  </si>
  <si>
    <t>Subsonic Fin Base drag Coefficient</t>
  </si>
  <si>
    <t>Power-On Total Drag Coefficient</t>
  </si>
  <si>
    <t>Power-Off Total Drag Coefficient</t>
  </si>
  <si>
    <t>Nose wave / pressure drag coefficient</t>
  </si>
  <si>
    <t>Average Incompressible Cf</t>
  </si>
  <si>
    <r>
      <t>D</t>
    </r>
    <r>
      <rPr>
        <sz val="10"/>
        <rFont val="Arial"/>
        <family val="0"/>
      </rPr>
      <t xml:space="preserve"> Power Off Base Drag Coefficient</t>
    </r>
  </si>
  <si>
    <t>Specific heat ratio, cp/cv</t>
  </si>
  <si>
    <t>Stagnation Pressure Coefficient</t>
  </si>
  <si>
    <r>
      <t>Single Lug Frontal Area, in</t>
    </r>
    <r>
      <rPr>
        <vertAlign val="superscript"/>
        <sz val="10"/>
        <rFont val="Arial"/>
        <family val="2"/>
      </rPr>
      <t>2</t>
    </r>
  </si>
  <si>
    <t>Single Lug Drag Coefficient</t>
  </si>
  <si>
    <t>Body overall length, in</t>
  </si>
  <si>
    <t>Body overall length, ft</t>
  </si>
  <si>
    <t>Body of Revolution   --&gt;</t>
  </si>
  <si>
    <t>Second Stage Fins    --&gt;</t>
  </si>
  <si>
    <t>First Stage Fins            --&gt;</t>
  </si>
  <si>
    <t>Number of Fin Sets or Stages</t>
  </si>
  <si>
    <t>Leading Edge Sweepback Angle, rad</t>
  </si>
  <si>
    <t>Leading Edge Stagnation Pressure Coefficient</t>
  </si>
  <si>
    <t>Total Wave Drag Coefficient</t>
  </si>
  <si>
    <t>Power-Off Base Drag Coefficient</t>
  </si>
  <si>
    <t>Blunt Fin Trailing Edge?</t>
  </si>
  <si>
    <t>Total Power-Off Base Drag Coefficient</t>
  </si>
  <si>
    <t>Total Power-On Base Drag Coefficient</t>
  </si>
  <si>
    <t>Absolute Atmospheric Temperature, deg R</t>
  </si>
  <si>
    <t>Body Station, in</t>
  </si>
  <si>
    <t>Body Radius, in</t>
  </si>
  <si>
    <r>
      <t>Wetted Area forward of Body Station, in</t>
    </r>
    <r>
      <rPr>
        <strike/>
        <vertAlign val="superscript"/>
        <sz val="10"/>
        <rFont val="Arial"/>
        <family val="2"/>
      </rPr>
      <t>2</t>
    </r>
  </si>
  <si>
    <t>Natural Transition length, ft</t>
  </si>
  <si>
    <t>Trip Body Station, ft Aft of Nose Tip</t>
  </si>
  <si>
    <t>Transition Location, ft Aft of Nose Tip</t>
  </si>
  <si>
    <t>Transonic Base Pressure Coefficient</t>
  </si>
  <si>
    <t>Subsonic Base Pressure Coefficient</t>
  </si>
  <si>
    <r>
      <t>Laminar Boundary Layer Wetted Area, in</t>
    </r>
    <r>
      <rPr>
        <vertAlign val="superscript"/>
        <sz val="10"/>
        <rFont val="Arial"/>
        <family val="2"/>
      </rPr>
      <t>2</t>
    </r>
  </si>
  <si>
    <t xml:space="preserve"> </t>
  </si>
  <si>
    <t>Up to 6 points on the wetted area curve are user inputs.</t>
  </si>
  <si>
    <t>Body Skin Friction Drag Coefficient</t>
  </si>
  <si>
    <t>Areal Average Friction Coefficient Cf</t>
  </si>
  <si>
    <t>Total Fin Skin Friction Drag Coefficient</t>
  </si>
  <si>
    <t>Nozzle Exit Diameter, in</t>
  </si>
  <si>
    <r>
      <t>Nozzle Exit Area, ft</t>
    </r>
    <r>
      <rPr>
        <vertAlign val="superscript"/>
        <sz val="10"/>
        <rFont val="Arial"/>
        <family val="2"/>
      </rPr>
      <t>2</t>
    </r>
  </si>
  <si>
    <r>
      <t>Atmospheric Pressure, lb/ft</t>
    </r>
    <r>
      <rPr>
        <vertAlign val="superscript"/>
        <sz val="10"/>
        <rFont val="Arial"/>
        <family val="2"/>
      </rPr>
      <t>2</t>
    </r>
  </si>
  <si>
    <t>Obtain atmospheric absolute temperature, pressure and Mach number from a SKYAERO run</t>
  </si>
  <si>
    <t>Blunt Fin Leading Edge?</t>
  </si>
  <si>
    <t>Fin Leading Edge Pressure Drag Coefficient</t>
  </si>
  <si>
    <t>Stage 1 Fin Wave Drag Coefficient</t>
  </si>
  <si>
    <t>Stage 2 Fin Wave Drag Coefficient</t>
  </si>
  <si>
    <t>Leading Edge Fin Thickness, in</t>
  </si>
  <si>
    <t>Additional Trailing Edge Logic</t>
  </si>
  <si>
    <r>
      <t>Additional Base Area due to Wedge, in</t>
    </r>
    <r>
      <rPr>
        <vertAlign val="superscript"/>
        <sz val="10"/>
        <rFont val="Arial"/>
        <family val="2"/>
      </rPr>
      <t>2</t>
    </r>
  </si>
  <si>
    <t>Wedge Half Angle, in plane normal to Leading Edge, deg.</t>
  </si>
  <si>
    <t xml:space="preserve">The nose wave/pressure drag coefficient as a function of Mach number is found in cell W6 of MUNKSHIP2.xls (subsonic) and in cell AK14 of SUPERSONIC BARROWMAN EQUATIONS3.3.xls (supersonic).  Fin wave drag is found in cells AL64 (Stage 1) and AL67 (Stage 2) of SUPERSONIC BARROWMAN EQUATIONS.xls.  </t>
  </si>
  <si>
    <r>
      <t xml:space="preserve">Riding Lugs  </t>
    </r>
    <r>
      <rPr>
        <sz val="10"/>
        <rFont val="Arial"/>
        <family val="2"/>
      </rPr>
      <t>→</t>
    </r>
  </si>
  <si>
    <r>
      <t xml:space="preserve">Flat- Faced Nose  </t>
    </r>
    <r>
      <rPr>
        <sz val="10"/>
        <rFont val="Arial"/>
        <family val="2"/>
      </rPr>
      <t>→</t>
    </r>
  </si>
  <si>
    <t>Nose Diameter, in</t>
  </si>
  <si>
    <t>Pressure Drag Coefficient</t>
  </si>
  <si>
    <t>Is nose flat faced?</t>
  </si>
  <si>
    <r>
      <t xml:space="preserve">Body Base Drag  </t>
    </r>
    <r>
      <rPr>
        <sz val="10"/>
        <rFont val="Arial"/>
        <family val="2"/>
      </rPr>
      <t>→</t>
    </r>
  </si>
  <si>
    <t>Flat-Faced Pressure Drag Coefficient</t>
  </si>
  <si>
    <t>Max Transonic Mach number</t>
  </si>
  <si>
    <t>Tangent Ogive Forebody used?</t>
  </si>
  <si>
    <t>Average Chord, ft, ft</t>
  </si>
  <si>
    <t>Average Chord, ft</t>
  </si>
  <si>
    <t>Average Chord Re</t>
  </si>
  <si>
    <t xml:space="preserve">Average Chord Re </t>
  </si>
  <si>
    <t>Parasite Drag Increment, percent</t>
  </si>
  <si>
    <r>
      <t>Power on C</t>
    </r>
    <r>
      <rPr>
        <vertAlign val="subscript"/>
        <sz val="10"/>
        <rFont val="Arial"/>
        <family val="2"/>
      </rPr>
      <t>d</t>
    </r>
    <r>
      <rPr>
        <sz val="10"/>
        <rFont val="Arial"/>
        <family val="2"/>
      </rPr>
      <t xml:space="preserve"> with Parasite drag</t>
    </r>
  </si>
  <si>
    <r>
      <t>Nominal Power on C</t>
    </r>
    <r>
      <rPr>
        <vertAlign val="subscript"/>
        <sz val="10"/>
        <rFont val="Arial"/>
        <family val="2"/>
      </rPr>
      <t>d</t>
    </r>
  </si>
  <si>
    <r>
      <t>Nominal Power off C</t>
    </r>
    <r>
      <rPr>
        <vertAlign val="subscript"/>
        <sz val="10"/>
        <rFont val="Arial"/>
        <family val="2"/>
      </rPr>
      <t>d</t>
    </r>
  </si>
  <si>
    <r>
      <t>Power off C</t>
    </r>
    <r>
      <rPr>
        <vertAlign val="subscript"/>
        <sz val="10"/>
        <rFont val="Arial"/>
        <family val="2"/>
      </rPr>
      <t>d</t>
    </r>
    <r>
      <rPr>
        <sz val="10"/>
        <rFont val="Arial"/>
        <family val="2"/>
      </rPr>
      <t xml:space="preserve"> with Parasite drag</t>
    </r>
  </si>
  <si>
    <t>Mach Number</t>
  </si>
  <si>
    <t>Leading Edge Sweep back Angle, deg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</si>
</sst>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vertAlign val="superscript"/>
      <sz val="10"/>
      <name val="Arial"/>
      <family val="2"/>
    </font>
    <font>
      <sz val="8"/>
      <name val="Arial"/>
      <family val="0"/>
    </font>
    <font>
      <b/>
      <sz val="10"/>
      <name val="Arial"/>
      <family val="2"/>
    </font>
    <font>
      <sz val="12"/>
      <name val="Times"/>
      <family val="0"/>
    </font>
    <font>
      <sz val="10"/>
      <name val="Symbol"/>
      <family val="1"/>
    </font>
    <font>
      <strike/>
      <vertAlign val="superscript"/>
      <sz val="10"/>
      <name val="Arial"/>
      <family val="2"/>
    </font>
    <font>
      <vertAlign val="subscript"/>
      <sz val="10"/>
      <name val="Arial"/>
      <family val="2"/>
    </font>
    <font>
      <sz val="12"/>
      <color indexed="8"/>
      <name val="Arial"/>
      <family val="0"/>
    </font>
    <font>
      <b/>
      <sz val="18"/>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right style="thin"/>
      <top style="thin"/>
      <bottom>
        <color indexed="63"/>
      </bottom>
    </border>
    <border>
      <left style="double"/>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32" borderId="10" xfId="0" applyFont="1" applyFill="1" applyBorder="1" applyAlignment="1">
      <alignment horizontal="center" vertical="center" wrapText="1"/>
    </xf>
    <xf numFmtId="0" fontId="0" fillId="32" borderId="10" xfId="0" applyFill="1" applyBorder="1" applyAlignment="1">
      <alignment horizontal="center" vertical="center" wrapText="1"/>
    </xf>
    <xf numFmtId="0" fontId="0" fillId="33" borderId="10" xfId="0" applyFill="1" applyBorder="1" applyAlignment="1">
      <alignment/>
    </xf>
    <xf numFmtId="0" fontId="3" fillId="0" borderId="0" xfId="0" applyFont="1" applyAlignment="1">
      <alignment/>
    </xf>
    <xf numFmtId="0" fontId="0" fillId="34"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4" fillId="32" borderId="10" xfId="0" applyFont="1" applyFill="1" applyBorder="1" applyAlignment="1">
      <alignment horizontal="center" vertical="center" wrapText="1"/>
    </xf>
    <xf numFmtId="0" fontId="0" fillId="35" borderId="13" xfId="0" applyFill="1" applyBorder="1" applyAlignment="1">
      <alignment horizontal="center" vertical="center" wrapText="1"/>
    </xf>
    <xf numFmtId="0" fontId="0" fillId="35" borderId="13" xfId="0" applyFill="1" applyBorder="1" applyAlignment="1">
      <alignment/>
    </xf>
    <xf numFmtId="0" fontId="4" fillId="35" borderId="13"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14" xfId="0" applyFill="1" applyBorder="1" applyAlignment="1">
      <alignment/>
    </xf>
    <xf numFmtId="0" fontId="0" fillId="0" borderId="0" xfId="0" applyAlignment="1">
      <alignment horizontal="left"/>
    </xf>
    <xf numFmtId="0" fontId="0" fillId="35" borderId="15" xfId="0" applyFill="1" applyBorder="1" applyAlignment="1">
      <alignment vertical="distributed" wrapText="1"/>
    </xf>
    <xf numFmtId="0" fontId="0" fillId="35" borderId="13" xfId="0" applyFill="1" applyBorder="1" applyAlignment="1">
      <alignment vertical="distributed" wrapText="1"/>
    </xf>
    <xf numFmtId="0" fontId="5" fillId="32" borderId="10" xfId="0" applyFont="1" applyFill="1" applyBorder="1" applyAlignment="1">
      <alignment horizontal="center" vertical="center" wrapText="1"/>
    </xf>
    <xf numFmtId="0" fontId="0" fillId="34" borderId="10" xfId="0" applyFill="1" applyBorder="1" applyAlignment="1">
      <alignment/>
    </xf>
    <xf numFmtId="0" fontId="0" fillId="0" borderId="13" xfId="0" applyBorder="1" applyAlignment="1">
      <alignment/>
    </xf>
    <xf numFmtId="0" fontId="0" fillId="5" borderId="10" xfId="0" applyFill="1" applyBorder="1" applyAlignment="1">
      <alignment horizontal="center" vertical="center" wrapText="1"/>
    </xf>
    <xf numFmtId="0" fontId="0" fillId="0" borderId="11" xfId="0" applyBorder="1" applyAlignment="1">
      <alignment/>
    </xf>
    <xf numFmtId="0" fontId="0" fillId="35" borderId="15" xfId="0" applyFill="1" applyBorder="1" applyAlignment="1">
      <alignment horizontal="center" vertical="center" wrapText="1"/>
    </xf>
    <xf numFmtId="0" fontId="0" fillId="0" borderId="15" xfId="0" applyBorder="1" applyAlignment="1">
      <alignment/>
    </xf>
    <xf numFmtId="0" fontId="0" fillId="34" borderId="10" xfId="0" applyFill="1" applyBorder="1" applyAlignment="1">
      <alignment horizontal="center" vertical="center" wrapText="1"/>
    </xf>
    <xf numFmtId="0" fontId="0" fillId="35" borderId="16" xfId="0" applyFill="1" applyBorder="1" applyAlignment="1">
      <alignment horizontal="center" vertical="center" wrapText="1"/>
    </xf>
    <xf numFmtId="0" fontId="0" fillId="0" borderId="0" xfId="0" applyBorder="1" applyAlignment="1">
      <alignment/>
    </xf>
    <xf numFmtId="0" fontId="0" fillId="0" borderId="14" xfId="0" applyBorder="1" applyAlignment="1">
      <alignment/>
    </xf>
    <xf numFmtId="0" fontId="0" fillId="35" borderId="17" xfId="0" applyFill="1" applyBorder="1" applyAlignment="1">
      <alignment horizontal="center" vertical="center" wrapText="1"/>
    </xf>
    <xf numFmtId="0" fontId="0" fillId="0" borderId="18" xfId="0" applyBorder="1" applyAlignment="1">
      <alignment/>
    </xf>
    <xf numFmtId="0" fontId="0" fillId="35" borderId="12" xfId="0" applyFill="1" applyBorder="1" applyAlignment="1">
      <alignment horizontal="right" vertical="center" wrapText="1"/>
    </xf>
    <xf numFmtId="0" fontId="0" fillId="35" borderId="11" xfId="0" applyFill="1" applyBorder="1" applyAlignment="1">
      <alignment horizontal="right" vertical="center" wrapText="1"/>
    </xf>
    <xf numFmtId="0" fontId="0" fillId="35" borderId="15" xfId="0" applyFill="1" applyBorder="1" applyAlignment="1">
      <alignment/>
    </xf>
    <xf numFmtId="0" fontId="0" fillId="32" borderId="10" xfId="0" applyFill="1" applyBorder="1" applyAlignment="1">
      <alignment horizontal="center" wrapText="1"/>
    </xf>
    <xf numFmtId="0" fontId="0" fillId="33" borderId="10" xfId="0" applyFill="1" applyBorder="1" applyAlignment="1">
      <alignment horizontal="right"/>
    </xf>
    <xf numFmtId="0" fontId="0" fillId="35" borderId="18" xfId="0" applyFill="1" applyBorder="1" applyAlignment="1">
      <alignment/>
    </xf>
    <xf numFmtId="0" fontId="0" fillId="36" borderId="10" xfId="0" applyFill="1" applyBorder="1" applyAlignment="1">
      <alignment horizontal="center" vertical="center" wrapText="1"/>
    </xf>
    <xf numFmtId="0" fontId="0" fillId="35" borderId="19" xfId="0" applyFill="1" applyBorder="1" applyAlignment="1">
      <alignment/>
    </xf>
    <xf numFmtId="0" fontId="0" fillId="35" borderId="20" xfId="0" applyFill="1" applyBorder="1" applyAlignment="1">
      <alignment horizontal="center" vertical="center" wrapText="1"/>
    </xf>
    <xf numFmtId="0" fontId="0" fillId="35" borderId="0" xfId="0" applyFill="1" applyBorder="1" applyAlignment="1">
      <alignment horizontal="center" vertical="center" wrapText="1"/>
    </xf>
    <xf numFmtId="0" fontId="0" fillId="32" borderId="10" xfId="0" applyFill="1" applyBorder="1" applyAlignment="1">
      <alignment horizontal="right" vertical="center" wrapText="1"/>
    </xf>
    <xf numFmtId="0" fontId="0" fillId="35" borderId="20" xfId="0" applyFill="1" applyBorder="1" applyAlignment="1">
      <alignment/>
    </xf>
    <xf numFmtId="0" fontId="0" fillId="32" borderId="21" xfId="0" applyFill="1" applyBorder="1" applyAlignment="1">
      <alignment horizontal="center" vertical="center" wrapText="1"/>
    </xf>
    <xf numFmtId="0" fontId="0" fillId="34" borderId="22" xfId="0" applyFill="1" applyBorder="1" applyAlignment="1">
      <alignment/>
    </xf>
    <xf numFmtId="0" fontId="0" fillId="33" borderId="10" xfId="0" applyFill="1" applyBorder="1" applyAlignment="1">
      <alignment horizontal="right" vertical="center" wrapText="1"/>
    </xf>
    <xf numFmtId="0" fontId="0" fillId="35" borderId="19" xfId="0" applyFill="1" applyBorder="1" applyAlignment="1">
      <alignment horizontal="right" vertical="center" wrapText="1"/>
    </xf>
    <xf numFmtId="0" fontId="0" fillId="35" borderId="16" xfId="0" applyFill="1" applyBorder="1" applyAlignment="1">
      <alignment/>
    </xf>
    <xf numFmtId="0" fontId="0" fillId="35" borderId="18" xfId="0" applyFill="1" applyBorder="1" applyAlignment="1">
      <alignment horizontal="left" vertical="center" wrapText="1"/>
    </xf>
    <xf numFmtId="0" fontId="0" fillId="36" borderId="10" xfId="0" applyFill="1" applyBorder="1" applyAlignment="1">
      <alignment horizontal="left" vertical="center" wrapText="1"/>
    </xf>
    <xf numFmtId="0" fontId="0" fillId="35" borderId="18" xfId="0"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latin typeface="Arial"/>
                <a:ea typeface="Arial"/>
                <a:cs typeface="Arial"/>
              </a:rPr>
              <a:t>2014 Sonic Eagle Drag</a:t>
            </a:r>
          </a:p>
        </c:rich>
      </c:tx>
      <c:layout>
        <c:manualLayout>
          <c:xMode val="factor"/>
          <c:yMode val="factor"/>
          <c:x val="-0.00525"/>
          <c:y val="0"/>
        </c:manualLayout>
      </c:layout>
      <c:spPr>
        <a:noFill/>
        <a:ln>
          <a:noFill/>
        </a:ln>
      </c:spPr>
    </c:title>
    <c:plotArea>
      <c:layout>
        <c:manualLayout>
          <c:xMode val="edge"/>
          <c:yMode val="edge"/>
          <c:x val="0.0705"/>
          <c:y val="0.19"/>
          <c:w val="0.616"/>
          <c:h val="0.675"/>
        </c:manualLayout>
      </c:layout>
      <c:scatterChart>
        <c:scatterStyle val="smoothMarker"/>
        <c:varyColors val="0"/>
        <c:ser>
          <c:idx val="0"/>
          <c:order val="0"/>
          <c:tx>
            <c:strRef>
              <c:f>Sheet1!$H$31</c:f>
              <c:strCache>
                <c:ptCount val="1"/>
                <c:pt idx="0">
                  <c:v>Power on Cd with Parasite drag</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Sheet1!$G$32:$G$42</c:f>
              <c:numCache/>
            </c:numRef>
          </c:xVal>
          <c:yVal>
            <c:numRef>
              <c:f>Sheet1!$H$32:$H$42</c:f>
              <c:numCache/>
            </c:numRef>
          </c:yVal>
          <c:smooth val="1"/>
        </c:ser>
        <c:ser>
          <c:idx val="1"/>
          <c:order val="1"/>
          <c:tx>
            <c:strRef>
              <c:f>Sheet1!$I$31</c:f>
              <c:strCache>
                <c:ptCount val="1"/>
                <c:pt idx="0">
                  <c:v>Power off Cd with Parasite drag</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Sheet1!$G$32:$G$42</c:f>
              <c:numCache/>
            </c:numRef>
          </c:xVal>
          <c:yVal>
            <c:numRef>
              <c:f>Sheet1!$I$32:$I$42</c:f>
              <c:numCache/>
            </c:numRef>
          </c:yVal>
          <c:smooth val="1"/>
        </c:ser>
        <c:axId val="8786844"/>
        <c:axId val="11972733"/>
      </c:scatterChart>
      <c:valAx>
        <c:axId val="8786844"/>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Mach Number</a:t>
                </a:r>
              </a:p>
            </c:rich>
          </c:tx>
          <c:layout>
            <c:manualLayout>
              <c:xMode val="factor"/>
              <c:yMode val="factor"/>
              <c:x val="-0.026"/>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11972733"/>
        <c:crosses val="autoZero"/>
        <c:crossBetween val="midCat"/>
        <c:dispUnits/>
        <c:majorUnit val="0.2"/>
      </c:valAx>
      <c:valAx>
        <c:axId val="11972733"/>
        <c:scaling>
          <c:orientation val="minMax"/>
        </c:scaling>
        <c:axPos val="l"/>
        <c:title>
          <c:tx>
            <c:rich>
              <a:bodyPr vert="horz" rot="-5400000" anchor="ctr"/>
              <a:lstStyle/>
              <a:p>
                <a:pPr algn="ctr">
                  <a:defRPr/>
                </a:pPr>
                <a:r>
                  <a:rPr lang="en-US" cap="none" sz="1800" b="1" i="0" u="none" baseline="0">
                    <a:solidFill>
                      <a:srgbClr val="000000"/>
                    </a:solidFill>
                    <a:latin typeface="Arial"/>
                    <a:ea typeface="Arial"/>
                    <a:cs typeface="Arial"/>
                  </a:rPr>
                  <a:t>Drag Coefficient</a:t>
                </a:r>
              </a:p>
            </c:rich>
          </c:tx>
          <c:layout>
            <c:manualLayout>
              <c:xMode val="factor"/>
              <c:yMode val="factor"/>
              <c:x val="-0.02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8786844"/>
        <c:crosses val="autoZero"/>
        <c:crossBetween val="midCat"/>
        <c:dispUnits/>
      </c:valAx>
      <c:spPr>
        <a:noFill/>
        <a:ln>
          <a:noFill/>
        </a:ln>
      </c:spPr>
    </c:plotArea>
    <c:legend>
      <c:legendPos val="r"/>
      <c:layout>
        <c:manualLayout>
          <c:xMode val="edge"/>
          <c:yMode val="edge"/>
          <c:x val="0.701"/>
          <c:y val="0.3725"/>
          <c:w val="0.29375"/>
          <c:h val="0.2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30</xdr:row>
      <xdr:rowOff>0</xdr:rowOff>
    </xdr:from>
    <xdr:to>
      <xdr:col>19</xdr:col>
      <xdr:colOff>990600</xdr:colOff>
      <xdr:row>50</xdr:row>
      <xdr:rowOff>133350</xdr:rowOff>
    </xdr:to>
    <xdr:graphicFrame>
      <xdr:nvGraphicFramePr>
        <xdr:cNvPr id="1" name="Chart 3"/>
        <xdr:cNvGraphicFramePr/>
      </xdr:nvGraphicFramePr>
      <xdr:xfrm>
        <a:off x="9324975" y="7467600"/>
        <a:ext cx="738187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N42"/>
  <sheetViews>
    <sheetView tabSelected="1" zoomScalePageLayoutView="0" workbookViewId="0" topLeftCell="AD1">
      <selection activeCell="AK8" sqref="AK8"/>
    </sheetView>
  </sheetViews>
  <sheetFormatPr defaultColWidth="9.140625" defaultRowHeight="12.75"/>
  <cols>
    <col min="2" max="2" width="10.421875" style="0" customWidth="1"/>
    <col min="3" max="3" width="17.421875" style="0" customWidth="1"/>
    <col min="4" max="4" width="23.7109375" style="0" customWidth="1"/>
    <col min="5" max="5" width="11.7109375" style="0" customWidth="1"/>
    <col min="7" max="7" width="11.8515625" style="0" customWidth="1"/>
    <col min="9" max="9" width="11.00390625" style="0" customWidth="1"/>
    <col min="10" max="10" width="12.140625" style="0" customWidth="1"/>
    <col min="11" max="11" width="14.140625" style="0" customWidth="1"/>
    <col min="12" max="12" width="14.00390625" style="0" customWidth="1"/>
    <col min="13" max="13" width="11.00390625" style="0" customWidth="1"/>
    <col min="15" max="15" width="11.00390625" style="0" customWidth="1"/>
    <col min="16" max="16" width="10.7109375" style="0" customWidth="1"/>
    <col min="17" max="17" width="13.7109375" style="0" customWidth="1"/>
    <col min="18" max="18" width="13.57421875" style="0" customWidth="1"/>
    <col min="19" max="19" width="12.7109375" style="0" customWidth="1"/>
    <col min="20" max="20" width="16.28125" style="0" customWidth="1"/>
    <col min="21" max="21" width="13.7109375" style="0" customWidth="1"/>
    <col min="22" max="22" width="16.421875" style="0" customWidth="1"/>
    <col min="23" max="25" width="16.28125" style="0" customWidth="1"/>
    <col min="26" max="26" width="11.00390625" style="0" customWidth="1"/>
    <col min="27" max="29" width="10.421875" style="0" customWidth="1"/>
    <col min="30" max="30" width="14.140625" style="0" customWidth="1"/>
    <col min="31" max="31" width="14.57421875" style="0" customWidth="1"/>
    <col min="32" max="32" width="16.28125" style="0" customWidth="1"/>
    <col min="33" max="34" width="14.28125" style="0" customWidth="1"/>
    <col min="35" max="35" width="13.140625" style="0" customWidth="1"/>
    <col min="36" max="36" width="10.421875" style="0" customWidth="1"/>
    <col min="37" max="38" width="14.7109375" style="0" customWidth="1"/>
    <col min="39" max="39" width="71.57421875" style="0" customWidth="1"/>
  </cols>
  <sheetData>
    <row r="1" spans="3:4" ht="12.75">
      <c r="C1" s="4" t="s">
        <v>7</v>
      </c>
      <c r="D1" s="4"/>
    </row>
    <row r="3" spans="2:39" ht="41.25" customHeight="1" thickBot="1">
      <c r="B3" s="20" t="s">
        <v>32</v>
      </c>
      <c r="C3" s="2" t="s">
        <v>43</v>
      </c>
      <c r="D3" s="2" t="s">
        <v>60</v>
      </c>
      <c r="E3" s="1" t="s">
        <v>1</v>
      </c>
      <c r="F3" s="1" t="s">
        <v>4</v>
      </c>
      <c r="G3" s="1"/>
      <c r="H3" s="2" t="s">
        <v>30</v>
      </c>
      <c r="I3" s="2" t="s">
        <v>31</v>
      </c>
      <c r="J3" s="2" t="s">
        <v>0</v>
      </c>
      <c r="K3" s="2" t="s">
        <v>2</v>
      </c>
      <c r="L3" s="2" t="s">
        <v>8</v>
      </c>
      <c r="M3" s="2" t="s">
        <v>9</v>
      </c>
      <c r="N3" s="2" t="s">
        <v>3</v>
      </c>
      <c r="O3" s="2" t="s">
        <v>10</v>
      </c>
      <c r="P3" s="2" t="s">
        <v>6</v>
      </c>
      <c r="Q3" s="2" t="s">
        <v>47</v>
      </c>
      <c r="R3" s="2" t="s">
        <v>48</v>
      </c>
      <c r="S3" s="2" t="s">
        <v>49</v>
      </c>
      <c r="T3" s="2" t="s">
        <v>52</v>
      </c>
      <c r="U3" s="2" t="s">
        <v>56</v>
      </c>
      <c r="W3" s="2" t="s">
        <v>55</v>
      </c>
      <c r="AH3" s="2" t="s">
        <v>23</v>
      </c>
      <c r="AJ3" s="12"/>
      <c r="AK3" s="42" t="s">
        <v>21</v>
      </c>
      <c r="AL3" s="9"/>
      <c r="AM3" s="9"/>
    </row>
    <row r="4" spans="3:38" ht="14.25" thickBot="1" thickTop="1">
      <c r="C4" s="3">
        <v>499.17</v>
      </c>
      <c r="D4" s="3">
        <v>2124</v>
      </c>
      <c r="E4" s="6">
        <f>8816603*D4*C4^(-1.26)</f>
        <v>7458692.75345878</v>
      </c>
      <c r="F4" s="3">
        <v>200000</v>
      </c>
      <c r="G4" s="3"/>
      <c r="H4" s="37">
        <f>H23</f>
        <v>148</v>
      </c>
      <c r="I4">
        <f>H4/12</f>
        <v>12.333333333333334</v>
      </c>
      <c r="J4" s="49">
        <f>J23</f>
        <v>2625.3720488251242</v>
      </c>
      <c r="K4">
        <f>J4/144</f>
        <v>18.231750339063364</v>
      </c>
      <c r="L4" s="35">
        <f>2*I23</f>
        <v>6.14</v>
      </c>
      <c r="M4">
        <f>L4/12</f>
        <v>0.5116666666666666</v>
      </c>
      <c r="N4">
        <f>K4/I4</f>
        <v>1.478250027491624</v>
      </c>
      <c r="O4" s="5">
        <f>PI()*M4^2/4</f>
        <v>0.2056194208390169</v>
      </c>
      <c r="P4" s="3">
        <v>0.9</v>
      </c>
      <c r="Q4">
        <f>F4/(E4*P4)</f>
        <v>0.029793722515138094</v>
      </c>
      <c r="R4" s="3">
        <v>2.5</v>
      </c>
      <c r="S4" s="37">
        <f>IF(Q4&gt;R4,R4,Q4)</f>
        <v>0.029793722515138094</v>
      </c>
      <c r="T4" s="35">
        <f>IF(AND(12*S4&gt;H21,12*S4&lt;=H22),J21+(J22-J21)*(12*S4-H21)/(H22-H21),IF(H4=H22,J4,IF(AND(12*S4&gt;H22,12*S4&lt;=#REF!),J22+(#REF!-J22)*(12*S4-H22)/(#REF!-H22),IF(H4=#REF!,J4,IF(AND(12*S4&gt;#REF!,12*S4&lt;=#REF!),#REF!+(#REF!-#REF!)*(12*S4-#REF!)/(#REF!-#REF!),IF(H4=#REF!,J4,IF(AND(12*S4&gt;H23,12*S4&lt;=H24),J23+(J24-J23)*(12*S4-H23)/(H24-H23),J4)))))))</f>
        <v>4.617645757362739</v>
      </c>
      <c r="U4">
        <f>1.328*(T4/J4)/SQRT(E4*P4*S4)+0.427*(1-T4/J4)*((1+0.15*P4^2)^-0.58)/((LOG(E4*P4*I4)-0.407)^2.64)</f>
        <v>0.0019503135918614814</v>
      </c>
      <c r="W4" s="5">
        <f>U4*K4*(1-0.09*P4^2)/O4</f>
        <v>0.16032278999954266</v>
      </c>
      <c r="AH4" s="3">
        <v>0</v>
      </c>
      <c r="AJ4" s="38"/>
      <c r="AK4" s="43">
        <f>W8+AD20+AI8+2*L16+R21</f>
        <v>0.6659457994465651</v>
      </c>
      <c r="AL4" s="10"/>
    </row>
    <row r="5" spans="20:40" ht="14.25" customHeight="1" thickTop="1">
      <c r="T5" s="23"/>
      <c r="AN5" s="19"/>
    </row>
    <row r="6" spans="31:40" ht="12.75">
      <c r="AE6" s="23"/>
      <c r="AM6" s="46"/>
      <c r="AN6" s="19"/>
    </row>
    <row r="7" spans="2:40" ht="56.25" customHeight="1" thickBot="1">
      <c r="B7" s="20" t="s">
        <v>34</v>
      </c>
      <c r="C7" s="2" t="s">
        <v>35</v>
      </c>
      <c r="D7" s="36" t="s">
        <v>61</v>
      </c>
      <c r="E7" s="2" t="s">
        <v>66</v>
      </c>
      <c r="F7" s="2" t="s">
        <v>14</v>
      </c>
      <c r="G7" s="2" t="s">
        <v>90</v>
      </c>
      <c r="H7" s="2" t="s">
        <v>11</v>
      </c>
      <c r="I7" s="2" t="s">
        <v>12</v>
      </c>
      <c r="J7" s="2" t="s">
        <v>13</v>
      </c>
      <c r="K7" s="2" t="s">
        <v>15</v>
      </c>
      <c r="L7" s="2" t="s">
        <v>16</v>
      </c>
      <c r="M7" s="2" t="s">
        <v>3</v>
      </c>
      <c r="N7" s="2" t="s">
        <v>81</v>
      </c>
      <c r="O7" s="2" t="s">
        <v>82</v>
      </c>
      <c r="P7" s="2" t="s">
        <v>18</v>
      </c>
      <c r="Q7" s="2" t="s">
        <v>47</v>
      </c>
      <c r="R7" s="9"/>
      <c r="S7" s="23"/>
      <c r="T7" s="38"/>
      <c r="U7" s="2" t="s">
        <v>24</v>
      </c>
      <c r="V7" s="2" t="s">
        <v>17</v>
      </c>
      <c r="W7" s="2" t="s">
        <v>57</v>
      </c>
      <c r="X7" s="2" t="s">
        <v>69</v>
      </c>
      <c r="Y7" s="2" t="s">
        <v>68</v>
      </c>
      <c r="AA7" s="2" t="s">
        <v>62</v>
      </c>
      <c r="AB7" s="2" t="s">
        <v>40</v>
      </c>
      <c r="AC7" s="2" t="s">
        <v>67</v>
      </c>
      <c r="AD7" s="2" t="s">
        <v>20</v>
      </c>
      <c r="AE7" s="2" t="s">
        <v>36</v>
      </c>
      <c r="AF7" s="2" t="s">
        <v>37</v>
      </c>
      <c r="AG7" s="2" t="s">
        <v>63</v>
      </c>
      <c r="AH7" s="2" t="s">
        <v>64</v>
      </c>
      <c r="AI7" s="2" t="s">
        <v>38</v>
      </c>
      <c r="AJ7" s="23"/>
      <c r="AK7" s="42" t="s">
        <v>22</v>
      </c>
      <c r="AL7" s="12"/>
      <c r="AM7" s="48" t="s">
        <v>70</v>
      </c>
      <c r="AN7" s="19"/>
    </row>
    <row r="8" spans="3:39" ht="14.25" thickBot="1" thickTop="1">
      <c r="C8" s="3">
        <v>1</v>
      </c>
      <c r="E8" s="3">
        <v>0.125</v>
      </c>
      <c r="F8" s="3">
        <v>4</v>
      </c>
      <c r="G8" s="3">
        <v>0</v>
      </c>
      <c r="H8" s="3">
        <v>11.8</v>
      </c>
      <c r="I8" s="3">
        <v>4.5</v>
      </c>
      <c r="J8" s="3">
        <v>5.84</v>
      </c>
      <c r="K8">
        <f>(H8+I8)*J8</f>
        <v>95.19200000000001</v>
      </c>
      <c r="L8">
        <f>K8/144</f>
        <v>0.6610555555555556</v>
      </c>
      <c r="M8">
        <f>J8/12</f>
        <v>0.48666666666666664</v>
      </c>
      <c r="N8">
        <f>(H8+I8)/24</f>
        <v>0.6791666666666667</v>
      </c>
      <c r="O8">
        <f>E4*N8*P4</f>
        <v>4559125.9455516795</v>
      </c>
      <c r="P8" s="3">
        <v>25000</v>
      </c>
      <c r="Q8" s="6">
        <f>P8/(E4*P4)</f>
        <v>0.0037242153143922617</v>
      </c>
      <c r="R8" s="32"/>
      <c r="S8" s="6"/>
      <c r="T8" s="32"/>
      <c r="U8" s="7">
        <f>IF(Q8&gt;N8,1.328/SQRT(O8),1.328/SQRT(P8)+0.427*(1+0.15*P4^2)^-0.58/(LOG(O8)-0.407)^2.64-0.427*(Q8/N8)*(1+0.15*P4^2)^-0.58/(LOG(P8)-0.407)^2.64)</f>
        <v>0.011505116398664748</v>
      </c>
      <c r="V8" s="5">
        <f>F8*L8*U8*(1-0.09*P4^2)/O4</f>
        <v>0.13716756121123092</v>
      </c>
      <c r="W8" s="5">
        <f>IF(C8=1,W4+V8,W4+V8+V12)</f>
        <v>0.2974903512107736</v>
      </c>
      <c r="X8" s="44">
        <v>0</v>
      </c>
      <c r="Y8" s="45">
        <f>F12*(PI()/360)*J8*ABS(X8)*(H8+I8)*COS(ATAN((H8-I8)/J8))</f>
        <v>0</v>
      </c>
      <c r="AA8" s="3" t="b">
        <v>1</v>
      </c>
      <c r="AB8" s="3" t="b">
        <v>1</v>
      </c>
      <c r="AC8" s="6" t="b">
        <f>IF(AND((X8&lt;&gt;0),(AB8=FALSE)),TRUE,AB8)</f>
        <v>1</v>
      </c>
      <c r="AD8" s="5">
        <f>IF(AC8=TRUE,0.135*F8*(E8*J8+Y8)/(144*O4*U8^(1/3)),0)</f>
        <v>0.05897387397067466</v>
      </c>
      <c r="AE8" s="31">
        <f>ATAN((H8-I8)/J8)</f>
        <v>0.896055384571344</v>
      </c>
      <c r="AF8" s="30">
        <f>CPT(gamma,M*COS(AE8))</f>
        <v>1.0815419489120182</v>
      </c>
      <c r="AG8" s="24">
        <f>IF(AND(AA8,AB8),2*F8*E8*J8*AF8*(COS(AE8))^2/(3*144*O4),IF((P4*COS(AE8)&gt;1),2*F8*E8*J8*AF8*(COS(AE8))^2/(3*144*O4),0))</f>
        <v>0.027748816399544834</v>
      </c>
      <c r="AH8" s="44">
        <v>0</v>
      </c>
      <c r="AI8" s="5">
        <f>IF(C8=1,AH4+AG8+AH8,AH4+AG8+AG12+AH8+AH12)+R21</f>
        <v>0.12203555949496232</v>
      </c>
      <c r="AJ8" s="27"/>
      <c r="AK8" s="43">
        <f>W8+AD16+AI8+2*L16+R21</f>
        <v>0.6662417689049861</v>
      </c>
      <c r="AL8" s="13"/>
      <c r="AM8" s="47"/>
    </row>
    <row r="9" spans="33:38" ht="13.5" thickTop="1">
      <c r="AG9" s="29"/>
      <c r="AH9" s="29"/>
      <c r="AI9" s="26"/>
      <c r="AJ9" s="26"/>
      <c r="AK9" s="26"/>
      <c r="AL9" s="32"/>
    </row>
    <row r="10" spans="20:34" ht="12.75">
      <c r="T10" s="23"/>
      <c r="AF10" s="25"/>
      <c r="AG10" s="28"/>
      <c r="AH10" s="39"/>
    </row>
    <row r="11" spans="2:34" ht="51.75" customHeight="1">
      <c r="B11" s="20" t="s">
        <v>33</v>
      </c>
      <c r="E11" s="2" t="s">
        <v>66</v>
      </c>
      <c r="F11" s="2" t="s">
        <v>14</v>
      </c>
      <c r="G11" s="2" t="s">
        <v>90</v>
      </c>
      <c r="H11" s="2" t="s">
        <v>11</v>
      </c>
      <c r="I11" s="2" t="s">
        <v>12</v>
      </c>
      <c r="J11" s="2" t="s">
        <v>13</v>
      </c>
      <c r="K11" s="2" t="s">
        <v>15</v>
      </c>
      <c r="L11" s="2" t="s">
        <v>16</v>
      </c>
      <c r="M11" s="2" t="s">
        <v>3</v>
      </c>
      <c r="N11" s="2" t="s">
        <v>80</v>
      </c>
      <c r="O11" s="2" t="s">
        <v>83</v>
      </c>
      <c r="P11" s="2" t="s">
        <v>18</v>
      </c>
      <c r="Q11" s="2" t="s">
        <v>5</v>
      </c>
      <c r="R11" s="9"/>
      <c r="S11" s="22"/>
      <c r="T11" s="39"/>
      <c r="U11" s="2" t="s">
        <v>24</v>
      </c>
      <c r="V11" s="2" t="s">
        <v>17</v>
      </c>
      <c r="W11" s="12"/>
      <c r="X11" s="2" t="s">
        <v>69</v>
      </c>
      <c r="Y11" s="2" t="s">
        <v>68</v>
      </c>
      <c r="AA11" s="2" t="s">
        <v>62</v>
      </c>
      <c r="AB11" s="2" t="s">
        <v>40</v>
      </c>
      <c r="AC11" s="2" t="s">
        <v>67</v>
      </c>
      <c r="AD11" s="2" t="s">
        <v>20</v>
      </c>
      <c r="AE11" s="2" t="s">
        <v>36</v>
      </c>
      <c r="AF11" s="2" t="s">
        <v>37</v>
      </c>
      <c r="AG11" s="2" t="s">
        <v>63</v>
      </c>
      <c r="AH11" s="2" t="s">
        <v>65</v>
      </c>
    </row>
    <row r="12" spans="5:39" ht="12.75">
      <c r="E12" s="3">
        <v>0.125</v>
      </c>
      <c r="F12" s="3">
        <v>4</v>
      </c>
      <c r="G12" s="3"/>
      <c r="H12" s="3">
        <v>10</v>
      </c>
      <c r="I12" s="3">
        <v>4</v>
      </c>
      <c r="J12" s="3">
        <v>7</v>
      </c>
      <c r="K12">
        <f>(H12+I12)*J12/2</f>
        <v>49</v>
      </c>
      <c r="L12">
        <f>K12/144</f>
        <v>0.3402777777777778</v>
      </c>
      <c r="M12">
        <f>J12/12</f>
        <v>0.5833333333333334</v>
      </c>
      <c r="N12">
        <f>(H12+I12)/24</f>
        <v>0.5833333333333334</v>
      </c>
      <c r="O12">
        <f>E4*N12*P4</f>
        <v>3915813.6955658603</v>
      </c>
      <c r="P12" s="3">
        <v>25000</v>
      </c>
      <c r="Q12">
        <f>P12/(E4*P4)</f>
        <v>0.0037242153143922617</v>
      </c>
      <c r="T12" s="23"/>
      <c r="U12">
        <f>IF(Q12&gt;N12,1.328/SQRT(O12),1.328/SQRT(P12)+0.427*(1+0.15*P4^2)^-0.58/(LOG(O12)-0.407)^2.64-0.427*(Q12/N12)*(1+0.15*P4^2)^-0.58/(LOG(P12)-0.407)^2.64)</f>
        <v>0.011585750022696323</v>
      </c>
      <c r="V12" s="5">
        <f>F12*L12*U12*(1-0.09*P4^2)/O4</f>
        <v>0.0711017324180283</v>
      </c>
      <c r="W12" s="13"/>
      <c r="X12" s="34">
        <v>10</v>
      </c>
      <c r="Y12" s="37">
        <f>F12*(PI()/360)*J12*ABS(X12)*(H12+I12)*COS(ATAN((H12-I12)/J12))</f>
        <v>25.97299405440839</v>
      </c>
      <c r="AA12" s="3" t="b">
        <v>0</v>
      </c>
      <c r="AB12" s="3" t="b">
        <v>0</v>
      </c>
      <c r="AC12" s="6" t="b">
        <f>IF(AND((X12&lt;&gt;0),(AB12=FALSE)),TRUE,AB12)</f>
        <v>1</v>
      </c>
      <c r="AD12" s="5">
        <f>IF(AC12=TRUE,0.135*F12*(E12*J12+Y12)/(144*O4*U12^(1/3)),0)</f>
        <v>2.163902031066072</v>
      </c>
      <c r="AE12" s="23">
        <f>ATAN((H12-I12)/J12)</f>
        <v>0.7086262721276703</v>
      </c>
      <c r="AF12">
        <f>CPT(gamma,M*COS(AE12))</f>
        <v>1.1222491955440503</v>
      </c>
      <c r="AG12" s="5">
        <f>IF(AND(AA12,AB12),2*F12*E12*J12*AF12*(COS(AE12))^2/(3*144*O4),IF((P4*COS(AE12)&gt;1),2*F12*E12*J12*AF12*(COS(AE12))^2/(3*144*O4),0))</f>
        <v>0</v>
      </c>
      <c r="AH12" s="3">
        <v>0</v>
      </c>
      <c r="AL12" s="21"/>
      <c r="AM12" s="23"/>
    </row>
    <row r="13" spans="31:38" ht="12.75">
      <c r="AE13" s="23"/>
      <c r="AF13" s="23"/>
      <c r="AG13" s="26"/>
      <c r="AH13" s="26"/>
      <c r="AL13" s="21"/>
    </row>
    <row r="14" spans="31:38" ht="12.75">
      <c r="AE14" s="23"/>
      <c r="AF14" s="23"/>
      <c r="AG14" s="26"/>
      <c r="AH14" s="26"/>
      <c r="AL14" s="21"/>
    </row>
    <row r="15" spans="7:39" ht="38.25" customHeight="1">
      <c r="G15" s="20" t="s">
        <v>71</v>
      </c>
      <c r="I15" s="2" t="s">
        <v>26</v>
      </c>
      <c r="J15" s="2" t="s">
        <v>27</v>
      </c>
      <c r="K15" s="2" t="s">
        <v>28</v>
      </c>
      <c r="L15" s="2" t="s">
        <v>29</v>
      </c>
      <c r="N15" s="20" t="s">
        <v>76</v>
      </c>
      <c r="O15" s="2" t="s">
        <v>58</v>
      </c>
      <c r="P15" s="2" t="s">
        <v>59</v>
      </c>
      <c r="Q15" s="2" t="s">
        <v>51</v>
      </c>
      <c r="R15" s="2" t="s">
        <v>50</v>
      </c>
      <c r="S15" s="9"/>
      <c r="T15" s="12"/>
      <c r="U15" s="40" t="s">
        <v>78</v>
      </c>
      <c r="V15" s="2" t="s">
        <v>39</v>
      </c>
      <c r="AD15" s="2" t="s">
        <v>41</v>
      </c>
      <c r="AE15" s="23"/>
      <c r="AF15" s="23"/>
      <c r="AG15" s="27"/>
      <c r="AH15" s="26"/>
      <c r="AK15" s="17" t="s">
        <v>25</v>
      </c>
      <c r="AL15" s="16"/>
      <c r="AM15" s="15"/>
    </row>
    <row r="16" spans="9:37" ht="12.75">
      <c r="I16" s="3">
        <v>1.4</v>
      </c>
      <c r="J16">
        <f>CPT(gamma,M)</f>
        <v>1.2192294759275677</v>
      </c>
      <c r="K16" s="3">
        <v>0.36</v>
      </c>
      <c r="L16" s="5">
        <f>0.8*K16*J16/(144*O4)</f>
        <v>0.011859088708183104</v>
      </c>
      <c r="O16" s="3">
        <v>0.4</v>
      </c>
      <c r="P16">
        <f>PI()*O16^2/(4*144)</f>
        <v>0.0008726646259971648</v>
      </c>
      <c r="Q16" s="5">
        <f>0.029/SQRT(U4*K4/O4)</f>
        <v>0.06973706371679175</v>
      </c>
      <c r="R16" s="5">
        <f>Q16+0.055</f>
        <v>0.12473706371679175</v>
      </c>
      <c r="S16" s="37"/>
      <c r="T16" s="37"/>
      <c r="U16" s="41">
        <f>SQRT(1.3/(I16*R16))</f>
        <v>2.7284116798114155</v>
      </c>
      <c r="V16" s="5">
        <f>IF(P4&lt;1,Q16,IF(P4&lt;U16,R16,1.3/(I16*P4^2)))*(PI()*M4^2/(4*O4))</f>
        <v>0.06973706371679175</v>
      </c>
      <c r="AD16" s="5">
        <f>IF(C8=1,V16+AD8,V16+AD8+AD12)</f>
        <v>0.12871093768746641</v>
      </c>
      <c r="AE16" s="23"/>
      <c r="AF16" s="23"/>
      <c r="AG16" s="27"/>
      <c r="AH16" s="27"/>
      <c r="AI16" s="13"/>
      <c r="AK16" s="18">
        <f>AK8-AK4</f>
        <v>0.0002959694584210304</v>
      </c>
    </row>
    <row r="17" spans="31:34" ht="12.75">
      <c r="AE17" s="23"/>
      <c r="AF17" s="23"/>
      <c r="AG17" s="26"/>
      <c r="AH17" s="26"/>
    </row>
    <row r="18" spans="31:34" ht="12.75">
      <c r="AE18" s="23"/>
      <c r="AF18" s="23"/>
      <c r="AG18" s="26"/>
      <c r="AH18" s="26"/>
    </row>
    <row r="19" spans="22:35" ht="37.5" customHeight="1">
      <c r="V19" s="8" t="s">
        <v>19</v>
      </c>
      <c r="AD19" s="33" t="s">
        <v>42</v>
      </c>
      <c r="AE19" s="23"/>
      <c r="AF19" s="23"/>
      <c r="AG19" s="19"/>
      <c r="AH19" s="19"/>
      <c r="AI19" s="11"/>
    </row>
    <row r="20" spans="7:35" ht="51" customHeight="1">
      <c r="G20" s="2" t="s">
        <v>79</v>
      </c>
      <c r="H20" s="2" t="s">
        <v>44</v>
      </c>
      <c r="I20" s="2" t="s">
        <v>45</v>
      </c>
      <c r="J20" s="2" t="s">
        <v>46</v>
      </c>
      <c r="L20" s="36" t="s">
        <v>54</v>
      </c>
      <c r="N20" s="20" t="s">
        <v>72</v>
      </c>
      <c r="O20" s="2" t="s">
        <v>73</v>
      </c>
      <c r="P20" s="2" t="s">
        <v>77</v>
      </c>
      <c r="Q20" s="2" t="s">
        <v>75</v>
      </c>
      <c r="R20" s="2" t="s">
        <v>74</v>
      </c>
      <c r="V20" s="5">
        <f>(1-P16/O4)*V16</f>
        <v>0.06944109425837079</v>
      </c>
      <c r="AD20" s="5">
        <f>IF(C8=1,V20+AD8,V20+AD8+AD12)</f>
        <v>0.12841496822904547</v>
      </c>
      <c r="AE20" s="23"/>
      <c r="AF20" s="23"/>
      <c r="AG20" s="19"/>
      <c r="AH20" s="19"/>
      <c r="AI20" s="10"/>
    </row>
    <row r="21" spans="7:34" ht="12.75">
      <c r="G21" s="3" t="b">
        <v>1</v>
      </c>
      <c r="H21" s="3">
        <v>0</v>
      </c>
      <c r="I21" s="3">
        <v>0</v>
      </c>
      <c r="J21" s="3">
        <v>0</v>
      </c>
      <c r="O21" s="3">
        <v>1.5</v>
      </c>
      <c r="P21">
        <f>IF(P4&gt;1,PI()*O21^2*J16/(4*144*O4),PI()*O21^2*0.85*(1+0.25*(P4^2)+P4^4)/(4*144*O4))</f>
        <v>0.09428674309541749</v>
      </c>
      <c r="Q21" s="3" t="b">
        <v>1</v>
      </c>
      <c r="R21" s="5">
        <f>IF(Q21=TRUE,P21,0)</f>
        <v>0.09428674309541749</v>
      </c>
      <c r="AE21" s="23"/>
      <c r="AF21" s="23"/>
      <c r="AG21" s="26"/>
      <c r="AH21" s="26"/>
    </row>
    <row r="22" spans="8:39" ht="13.5" customHeight="1">
      <c r="H22" s="3">
        <v>36</v>
      </c>
      <c r="I22" s="3">
        <v>3.07</v>
      </c>
      <c r="J22" s="3">
        <f>IF(G21=TRUE,PI()*((H22^2+I22^2)/I22)*((I22^2-H22^2)*ASIN(2*I22*H22/(H22^2+I22^2))/(2*I22)+H22),PI()*I22*(I22+SQRT(I22^2+H22^2)))</f>
        <v>464.9616128044955</v>
      </c>
      <c r="AE22" s="23"/>
      <c r="AF22" s="23"/>
      <c r="AG22" s="19"/>
      <c r="AH22" s="19"/>
      <c r="AI22" s="9"/>
      <c r="AK22" s="9"/>
      <c r="AL22" s="9"/>
      <c r="AM22" s="9"/>
    </row>
    <row r="23" spans="8:10" ht="12.75">
      <c r="H23" s="3">
        <v>148</v>
      </c>
      <c r="I23" s="3">
        <v>3.07</v>
      </c>
      <c r="J23" s="34">
        <f>2*PI()*I22*(H23-H22)+J22</f>
        <v>2625.3720488251242</v>
      </c>
    </row>
    <row r="24" spans="8:10" ht="12.75">
      <c r="H24" s="3"/>
      <c r="I24" s="3"/>
      <c r="J24" s="3"/>
    </row>
    <row r="25" spans="8:10" ht="12.75">
      <c r="H25" s="3"/>
      <c r="I25" s="3"/>
      <c r="J25" s="3"/>
    </row>
    <row r="26" spans="8:10" ht="12.75">
      <c r="H26" s="3"/>
      <c r="I26" s="3"/>
      <c r="J26" s="3"/>
    </row>
    <row r="27" spans="8:38" ht="12.75">
      <c r="H27" s="32" t="s">
        <v>53</v>
      </c>
      <c r="I27" s="32" t="s">
        <v>53</v>
      </c>
      <c r="J27" s="32" t="s">
        <v>53</v>
      </c>
      <c r="AK27" s="14"/>
      <c r="AL27" s="14"/>
    </row>
    <row r="28" spans="8:10" ht="12.75">
      <c r="H28" s="32" t="s">
        <v>53</v>
      </c>
      <c r="I28" s="32" t="s">
        <v>53</v>
      </c>
      <c r="J28" s="32" t="s">
        <v>53</v>
      </c>
    </row>
    <row r="29" spans="8:10" ht="12.75">
      <c r="H29" s="32" t="s">
        <v>53</v>
      </c>
      <c r="I29" s="32" t="s">
        <v>53</v>
      </c>
      <c r="J29" s="32" t="s">
        <v>53</v>
      </c>
    </row>
    <row r="30" spans="8:9" ht="12.75">
      <c r="H30" s="32" t="s">
        <v>53</v>
      </c>
      <c r="I30" s="32" t="s">
        <v>53</v>
      </c>
    </row>
    <row r="31" spans="2:9" ht="54">
      <c r="B31" s="2" t="s">
        <v>84</v>
      </c>
      <c r="C31" s="2" t="s">
        <v>6</v>
      </c>
      <c r="D31" s="2" t="s">
        <v>86</v>
      </c>
      <c r="E31" s="2" t="s">
        <v>87</v>
      </c>
      <c r="G31" s="1" t="s">
        <v>89</v>
      </c>
      <c r="H31" s="1" t="s">
        <v>85</v>
      </c>
      <c r="I31" s="1" t="s">
        <v>88</v>
      </c>
    </row>
    <row r="32" spans="2:9" ht="12.75">
      <c r="B32" s="3">
        <v>5</v>
      </c>
      <c r="C32" s="37">
        <v>0.05</v>
      </c>
      <c r="D32">
        <v>0.68077</v>
      </c>
      <c r="E32">
        <v>0.681</v>
      </c>
      <c r="G32">
        <f>C32</f>
        <v>0.05</v>
      </c>
      <c r="H32">
        <f>(1+$B$32/100)*D32</f>
        <v>0.7148085000000001</v>
      </c>
      <c r="I32">
        <f>(1+$B$32/100)*E32</f>
        <v>0.7150500000000001</v>
      </c>
    </row>
    <row r="33" spans="3:9" ht="12.75">
      <c r="C33">
        <v>0.1</v>
      </c>
      <c r="D33">
        <v>0.64619</v>
      </c>
      <c r="E33">
        <v>0.64643</v>
      </c>
      <c r="G33">
        <f aca="true" t="shared" si="0" ref="G33:G42">C33</f>
        <v>0.1</v>
      </c>
      <c r="H33">
        <f aca="true" t="shared" si="1" ref="H33:H42">(1+$B$32/100)*D33</f>
        <v>0.6784995</v>
      </c>
      <c r="I33">
        <f aca="true" t="shared" si="2" ref="I33:I42">(1+$B$32/100)*E33</f>
        <v>0.6787515</v>
      </c>
    </row>
    <row r="34" spans="3:9" ht="12.75">
      <c r="C34">
        <v>0.15</v>
      </c>
      <c r="D34">
        <v>0.6272</v>
      </c>
      <c r="E34">
        <v>0.62744</v>
      </c>
      <c r="G34">
        <f t="shared" si="0"/>
        <v>0.15</v>
      </c>
      <c r="H34">
        <f t="shared" si="1"/>
        <v>0.65856</v>
      </c>
      <c r="I34">
        <f t="shared" si="2"/>
        <v>0.6588120000000001</v>
      </c>
    </row>
    <row r="35" spans="3:9" ht="12.75">
      <c r="C35">
        <v>0.2</v>
      </c>
      <c r="D35">
        <v>0.61429</v>
      </c>
      <c r="E35">
        <v>0.61454</v>
      </c>
      <c r="G35">
        <f t="shared" si="0"/>
        <v>0.2</v>
      </c>
      <c r="H35">
        <f t="shared" si="1"/>
        <v>0.6450045</v>
      </c>
      <c r="I35">
        <f t="shared" si="2"/>
        <v>0.645267</v>
      </c>
    </row>
    <row r="36" spans="3:9" ht="12.75">
      <c r="C36">
        <v>0.3</v>
      </c>
      <c r="D36">
        <v>0.59664</v>
      </c>
      <c r="E36">
        <v>0.59691</v>
      </c>
      <c r="G36">
        <f t="shared" si="0"/>
        <v>0.3</v>
      </c>
      <c r="H36">
        <f t="shared" si="1"/>
        <v>0.6264719999999999</v>
      </c>
      <c r="I36">
        <f t="shared" si="2"/>
        <v>0.6267555000000001</v>
      </c>
    </row>
    <row r="37" spans="3:9" ht="12.75">
      <c r="C37">
        <v>0.4</v>
      </c>
      <c r="D37">
        <v>0.58416</v>
      </c>
      <c r="E37">
        <v>0.58443</v>
      </c>
      <c r="G37">
        <f t="shared" si="0"/>
        <v>0.4</v>
      </c>
      <c r="H37">
        <f t="shared" si="1"/>
        <v>0.613368</v>
      </c>
      <c r="I37">
        <f t="shared" si="2"/>
        <v>0.6136515</v>
      </c>
    </row>
    <row r="38" spans="3:9" ht="12.75">
      <c r="C38">
        <v>0.5</v>
      </c>
      <c r="D38">
        <v>0.57421</v>
      </c>
      <c r="E38">
        <v>0.57449</v>
      </c>
      <c r="G38">
        <f t="shared" si="0"/>
        <v>0.5</v>
      </c>
      <c r="H38">
        <f t="shared" si="1"/>
        <v>0.6029205</v>
      </c>
      <c r="I38">
        <f t="shared" si="2"/>
        <v>0.6032145</v>
      </c>
    </row>
    <row r="39" spans="3:9" ht="12.75">
      <c r="C39">
        <v>0.6</v>
      </c>
      <c r="D39">
        <v>0.56572</v>
      </c>
      <c r="E39">
        <v>0.56601</v>
      </c>
      <c r="G39">
        <f t="shared" si="0"/>
        <v>0.6</v>
      </c>
      <c r="H39">
        <f t="shared" si="1"/>
        <v>0.594006</v>
      </c>
      <c r="I39">
        <f t="shared" si="2"/>
        <v>0.5943105000000001</v>
      </c>
    </row>
    <row r="40" spans="3:9" ht="12.75">
      <c r="C40">
        <v>0.7</v>
      </c>
      <c r="D40">
        <v>0.55818</v>
      </c>
      <c r="E40">
        <v>0.55847</v>
      </c>
      <c r="G40">
        <f t="shared" si="0"/>
        <v>0.7</v>
      </c>
      <c r="H40">
        <f t="shared" si="1"/>
        <v>0.5860890000000001</v>
      </c>
      <c r="I40">
        <f t="shared" si="2"/>
        <v>0.5863935</v>
      </c>
    </row>
    <row r="41" spans="3:9" ht="12.75">
      <c r="C41">
        <v>0.8</v>
      </c>
      <c r="D41">
        <v>0.55132</v>
      </c>
      <c r="E41">
        <v>0.55161</v>
      </c>
      <c r="G41">
        <f t="shared" si="0"/>
        <v>0.8</v>
      </c>
      <c r="H41">
        <f t="shared" si="1"/>
        <v>0.578886</v>
      </c>
      <c r="I41">
        <f t="shared" si="2"/>
        <v>0.5791905</v>
      </c>
    </row>
    <row r="42" spans="3:9" ht="12.75">
      <c r="C42">
        <v>0.9</v>
      </c>
      <c r="D42">
        <v>0.54499</v>
      </c>
      <c r="E42">
        <v>0.54529</v>
      </c>
      <c r="G42">
        <f t="shared" si="0"/>
        <v>0.9</v>
      </c>
      <c r="H42">
        <f t="shared" si="1"/>
        <v>0.5722395</v>
      </c>
      <c r="I42">
        <f t="shared" si="2"/>
        <v>0.5725545000000001</v>
      </c>
    </row>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Charles</cp:lastModifiedBy>
  <dcterms:created xsi:type="dcterms:W3CDTF">2011-05-11T23:15:20Z</dcterms:created>
  <dcterms:modified xsi:type="dcterms:W3CDTF">2016-04-24T22:24:51Z</dcterms:modified>
  <cp:category/>
  <cp:version/>
  <cp:contentType/>
  <cp:contentStatus/>
</cp:coreProperties>
</file>